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Use of Funds" sheetId="3" state="visible" r:id="rId5"/>
    <sheet name="Installment Schedule" sheetId="4" state="visible" r:id="rId6"/>
    <sheet name="P&amp;L by Scenario" sheetId="5" state="visible" r:id="rId7"/>
    <sheet name="5-Year Projection" sheetId="6" state="visible" r:id="rId8"/>
    <sheet name="Exit Valuatio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<sst xmlns="http://schemas.openxmlformats.org/spreadsheetml/2006/main" count="144" uniqueCount="121">
  <si>
    <t xml:space="preserve">THE AETHER LODGE INFINITE</t>
  </si>
  <si>
    <t xml:space="preserve">Financial Model — South Lombok, Indonesia</t>
  </si>
  <si>
    <t xml:space="preserve">Prepared for investor review · 4 August 2026 · All figures in EUR unless noted</t>
  </si>
  <si>
    <t xml:space="preserve">HOW TO USE THIS FILE</t>
  </si>
  <si>
    <t xml:space="preserve">• Blue cells with yellow fill = editable assumptions. Everything else is a live formula.</t>
  </si>
  <si>
    <t xml:space="preserve">• Tab order: Assumptions -&gt; Use of Funds -&gt; Installment Schedule -&gt; P&amp;L by Scenario -&gt; 5-Year Projection -&gt; Exit Valuation.</t>
  </si>
  <si>
    <t xml:space="preserve">• P&amp;L by Scenario reproduces the Conservative and Target figures published on the main site exactly; Optimistic differs slightly (see variance note on that tab).</t>
  </si>
  <si>
    <t xml:space="preserve">• This file complements, and does not replace, the investment report at the-aether-lodge.html.</t>
  </si>
  <si>
    <t xml:space="preserve">KEY FIGURES (Target scenario, 70% occupancy)</t>
  </si>
  <si>
    <t xml:space="preserve">Total investment</t>
  </si>
  <si>
    <t xml:space="preserve">Net Revenue</t>
  </si>
  <si>
    <t xml:space="preserve">EBITDA</t>
  </si>
  <si>
    <t xml:space="preserve">Net Profit</t>
  </si>
  <si>
    <t xml:space="preserve">Annual ROI</t>
  </si>
  <si>
    <t xml:space="preserve">THE AETHER LODGE INFINITE — Financial Model</t>
  </si>
  <si>
    <t xml:space="preserve">South Lombok, Indonesia — 9-lodge boutique resort</t>
  </si>
  <si>
    <t xml:space="preserve">Built by Aetherial Studio · Model date: 4 August 2026 · All formulas live — change blue cells to test scenarios</t>
  </si>
  <si>
    <t xml:space="preserve">KEY INVESTMENT TERMS</t>
  </si>
  <si>
    <t xml:space="preserve">Total investment (EUR)</t>
  </si>
  <si>
    <t xml:space="preserve">Source: Investment Terms, main site</t>
  </si>
  <si>
    <t xml:space="preserve">Investor equity share</t>
  </si>
  <si>
    <t xml:space="preserve">Source: Investment Offer, main site</t>
  </si>
  <si>
    <t xml:space="preserve">Aetherial Studio equity share</t>
  </si>
  <si>
    <t xml:space="preserve">ROOM MIX</t>
  </si>
  <si>
    <t xml:space="preserve">Lodge type</t>
  </si>
  <si>
    <t xml:space="preserve">Units</t>
  </si>
  <si>
    <t xml:space="preserve">ADR (EUR/night)</t>
  </si>
  <si>
    <t xml:space="preserve">Couple Lodge</t>
  </si>
  <si>
    <t xml:space="preserve">Premium Lodge</t>
  </si>
  <si>
    <t xml:space="preserve">Family XL Lodge</t>
  </si>
  <si>
    <t xml:space="preserve">Total lodges</t>
  </si>
  <si>
    <t xml:space="preserve">Simple average ADR (unweighted)</t>
  </si>
  <si>
    <t xml:space="preserve">Room-nights-weighted ADR</t>
  </si>
  <si>
    <t xml:space="preserve">REVENUE &amp; COST MODEL — back-solved from published site figures</t>
  </si>
  <si>
    <t xml:space="preserve">Days per year</t>
  </si>
  <si>
    <t xml:space="preserve">Blended ADR — net (implied)</t>
  </si>
  <si>
    <t xml:space="preserve">Back-solved: published Net Revenue ÷ (9 rooms × 365 × occupancy). Differs from the simple room-mix ADR above — the published model already nets out an unspecified factor (likely OTA commission and/or seasonal discount blended in). To confirm exact build-up with the project's revenue manager.</t>
  </si>
  <si>
    <t xml:space="preserve">Variable operating costs (% of Net Revenue)</t>
  </si>
  <si>
    <t xml:space="preserve">Fixed operating costs (EUR/year)</t>
  </si>
  <si>
    <t xml:space="preserve">Depreciation &amp; operating reserve (EUR/year, flat)</t>
  </si>
  <si>
    <t xml:space="preserve">Modeled as a flat annual charge. Reproduces the published Conservative and Target Net Profit exactly. The published Optimistic-scenario Net Profit implies a larger charge (~€40k) — likely a performance-scaled reserve not captured by this simplified linear model. See variance check on the P&amp;L tab.</t>
  </si>
  <si>
    <t xml:space="preserve">OCCUPANCY SCENARIOS</t>
  </si>
  <si>
    <t xml:space="preserve">Scenario</t>
  </si>
  <si>
    <t xml:space="preserve">Occupancy</t>
  </si>
  <si>
    <t xml:space="preserve">Conservative</t>
  </si>
  <si>
    <t xml:space="preserve">Target</t>
  </si>
  <si>
    <t xml:space="preserve">Optimistic</t>
  </si>
  <si>
    <t xml:space="preserve">Use of Funds — €599,000 total investment</t>
  </si>
  <si>
    <t xml:space="preserve">Source: Use of Funds, main site (percentages) — 2 August 2026 bottom-up model</t>
  </si>
  <si>
    <t xml:space="preserve">Cost category</t>
  </si>
  <si>
    <t xml:space="preserve">% of total</t>
  </si>
  <si>
    <t xml:space="preserve">Amount (EUR)</t>
  </si>
  <si>
    <t xml:space="preserve">Construction (tents, interior, furnishing, hot tub)</t>
  </si>
  <si>
    <t xml:space="preserve">Land, land tax, notary</t>
  </si>
  <si>
    <t xml:space="preserve">Aetherial Studio margin (creation + supervision)</t>
  </si>
  <si>
    <t xml:space="preserve">Contingency + contractor margin</t>
  </si>
  <si>
    <t xml:space="preserve">Permits, drawings, BOQ, water permit</t>
  </si>
  <si>
    <t xml:space="preserve">General services / site prep</t>
  </si>
  <si>
    <t xml:space="preserve">TOTAL</t>
  </si>
  <si>
    <t xml:space="preserve">Capital calls — tied to milestones, not dates</t>
  </si>
  <si>
    <t xml:space="preserve">Source: Investment Terms, main site. Timing indicative, aligned with the 15-month Delivery Timeline.</t>
  </si>
  <si>
    <t xml:space="preserve">Installment</t>
  </si>
  <si>
    <t xml:space="preserve">Milestone</t>
  </si>
  <si>
    <t xml:space="preserve">Indicative month</t>
  </si>
  <si>
    <t xml:space="preserve">Reservation Deposit</t>
  </si>
  <si>
    <t xml:space="preserve">LOI / Reservation Agreement signed</t>
  </si>
  <si>
    <t xml:space="preserve">Month 0</t>
  </si>
  <si>
    <t xml:space="preserve">Land Acquisition &amp; Development Stage</t>
  </si>
  <si>
    <t xml:space="preserve">Land acquisition (HGB/PT PMA) + Master Plan &amp; Architecture approved</t>
  </si>
  <si>
    <t xml:space="preserve">Month 2-3</t>
  </si>
  <si>
    <t xml:space="preserve">Construction Commencement</t>
  </si>
  <si>
    <t xml:space="preserve">Building Permit obtained &amp; Construction Commencement</t>
  </si>
  <si>
    <t xml:space="preserve">Month 5-6</t>
  </si>
  <si>
    <t xml:space="preserve">Structural Completion</t>
  </si>
  <si>
    <t xml:space="preserve">50% Construction Progress</t>
  </si>
  <si>
    <t xml:space="preserve">Month 9-10</t>
  </si>
  <si>
    <t xml:space="preserve">Substantial Completion</t>
  </si>
  <si>
    <t xml:space="preserve">Substantial Completion (≈90%)</t>
  </si>
  <si>
    <t xml:space="preserve">Month 13</t>
  </si>
  <si>
    <t xml:space="preserve">Final Completion &amp; Operational Handover</t>
  </si>
  <si>
    <t xml:space="preserve">Final Handover &amp; Operational Readiness</t>
  </si>
  <si>
    <t xml:space="preserve">Month 15</t>
  </si>
  <si>
    <t xml:space="preserve">Profit &amp; Loss — by occupancy scenario</t>
  </si>
  <si>
    <t xml:space="preserve">All cells below are formulas linked to the Assumptions tab. Change the blue inputs there to test other scenarios.</t>
  </si>
  <si>
    <t xml:space="preserve">Room-nights available (9 rooms x 365 days)</t>
  </si>
  <si>
    <t xml:space="preserve">Occupied room-nights</t>
  </si>
  <si>
    <t xml:space="preserve">Blended ADR — net (EUR/night)</t>
  </si>
  <si>
    <t xml:space="preserve">Variable operating costs</t>
  </si>
  <si>
    <t xml:space="preserve">Fixed operating costs</t>
  </si>
  <si>
    <t xml:space="preserve">EBITDA margin</t>
  </si>
  <si>
    <t xml:space="preserve">Depreciation &amp; operating reserve</t>
  </si>
  <si>
    <t xml:space="preserve">Net margin</t>
  </si>
  <si>
    <t xml:space="preserve">Annual ROI (on total investment)</t>
  </si>
  <si>
    <t xml:space="preserve">Payback period</t>
  </si>
  <si>
    <t xml:space="preserve">Cross-check vs. published site figures (Performance Comparator, main page)</t>
  </si>
  <si>
    <t xml:space="preserve">Published Net Revenue</t>
  </si>
  <si>
    <t xml:space="preserve">Δ vs. this model</t>
  </si>
  <si>
    <t xml:space="preserve">Published EBITDA</t>
  </si>
  <si>
    <t xml:space="preserve">Published Net Profit</t>
  </si>
  <si>
    <t xml:space="preserve">Conservative and Target reproduce the published site figures exactly. Optimistic differs by the amount shown — the published model likely applies a performance-scaled reserve/depreciation at high occupancy that this simplified linear model does not replicate. Refine with the project's financial controller before relying on the Optimistic column.</t>
  </si>
  <si>
    <t xml:space="preserve">5-Year Projection — Target scenario (70% occupancy)</t>
  </si>
  <si>
    <t xml:space="preserve">Assumes 3.0% annual ADR growth, flat occupancy. Edit the growth rate (blue) to test other trajectories.</t>
  </si>
  <si>
    <t xml:space="preserve">Annual ADR growth rate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</si>
  <si>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</si>
  <si>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</si>
  <si>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</si>
  <si>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</si>
  <si>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</si>
  <si>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Cumulative Net Profit</t>
  </si>
  <si>
    <t xml:space="preserve">Cumulative ROI (on total investment)</t>
  </si>
  <si>
    <t xml:space="preserve">Exit Valuation — indicative, EBITDA multiple method</t>
  </si>
  <si>
    <t xml:space="preserve">Draft methodology — pending independent appraiser validation. Source: Exit Strategy, main site.</t>
  </si>
  <si>
    <t xml:space="preserve">Low EBITDA multiple</t>
  </si>
  <si>
    <t xml:space="preserve">High EBITDA multiple</t>
  </si>
  <si>
    <t xml:space="preserve">Independent hotel assets (non-branded) typically trade 4x-8x annual EBITDA; more for scarce/differentiated assets. A conservative 6x-9x range is used for this 9-unit South Lombok lodge.</t>
  </si>
  <si>
    <t xml:space="preserve">Annual EBITDA</t>
  </si>
  <si>
    <t xml:space="preserve">Low value (6x)</t>
  </si>
  <si>
    <t xml:space="preserve">High value (9x)</t>
  </si>
  <si>
    <t xml:space="preserve">Low MOIC</t>
  </si>
  <si>
    <t xml:space="preserve">High MOIC</t>
  </si>
  <si>
    <t xml:space="preserve">Note: multiples exclude transaction fees, disposal tax and an illiquidity discount — all of which reduce the net amount received by the investor. See Exit Strategy section, main site, for buyer-profile discussion.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</si>
</sst>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(#,##0&quot;) €&quot;;\-"/>
    <numFmt numFmtId="166" formatCode="0.0%"/>
    <numFmt numFmtId="167" formatCode="0.0&quot; yrs&quot;"/>
    <numFmt numFmtId="168" formatCode="0.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Arial"/>
      <family val="0"/>
      <charset val="1"/>
    </font>
    <font>
      <i val="true"/>
      <sz val="13"/>
      <color rgb="FF55555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6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i val="true"/>
      <sz val="10"/>
      <name val="Arial"/>
      <family val="0"/>
      <charset val="1"/>
    </font>
    <font>
      <i val="true"/>
      <sz val="9"/>
      <color rgb="FFCC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D1117"/>
        <bgColor rgb="FF000000"/>
      </patternFill>
    </fill>
    <fill>
      <patternFill patternType="solid">
        <fgColor rgb="FFEDEDED"/>
        <bgColor rgb="FFFFFFFF"/>
      </patternFill>
    </fill>
    <fill>
      <patternFill patternType="solid">
        <fgColor rgb="FFFCE9B0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9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3B3B3"/>
      <rgbColor rgb="FF003366"/>
      <rgbColor rgb="FF339966"/>
      <rgbColor rgb="FF0D1117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Cumulative Net Profit — Target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"Cumulative Net Profit"</c:f>
              <c:strCache>
                <c:ptCount val="1"/>
                <c:pt idx="0">
                  <c:v>Cumulative Net Profit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'5-Year Projection'!$B$6:$F$6</c:f>
              <c:multiLvlStrCache>
                <c:ptCount val="1"/>
                <c:lvl>
                  <c:pt idx="0">
                    <c:v>Year 5</c:v>
                  </c:pt>
                </c:lvl>
                <c:lvl>
                  <c:pt idx="0">
                    <c:v>Year 4</c:v>
                  </c:pt>
                </c:lvl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'5-Year Projection'!$B$13</c:f>
              <c:numCache>
                <c:formatCode>#,##0" €";\(#,##0") €";\-</c:formatCode>
                <c:ptCount val="1"/>
                <c:pt idx="0">
                  <c:v>121504.663958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'5-Year Projection'!$B$6:$F$6</c:f>
              <c:multiLvlStrCache>
                <c:ptCount val="1"/>
                <c:lvl>
                  <c:pt idx="0">
                    <c:v>Year 5</c:v>
                  </c:pt>
                </c:lvl>
                <c:lvl>
                  <c:pt idx="0">
                    <c:v>Year 4</c:v>
                  </c:pt>
                </c:lvl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'5-Year Projection'!$C$13</c:f>
              <c:numCache>
                <c:formatCode>#,##0" €";\(#,##0") €";\-</c:formatCode>
                <c:ptCount val="1"/>
                <c:pt idx="0">
                  <c:v>249611.08783474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'5-Year Projection'!$B$6:$F$6</c:f>
              <c:multiLvlStrCache>
                <c:ptCount val="1"/>
                <c:lvl>
                  <c:pt idx="0">
                    <c:v>Year 5</c:v>
                  </c:pt>
                </c:lvl>
                <c:lvl>
                  <c:pt idx="0">
                    <c:v>Year 4</c:v>
                  </c:pt>
                </c:lvl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'5-Year Projection'!$D$13</c:f>
              <c:numCache>
                <c:formatCode>#,##0" €";\(#,##0") €";\-</c:formatCode>
                <c:ptCount val="1"/>
                <c:pt idx="0">
                  <c:v>384517.324427782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'5-Year Projection'!$B$6:$F$6</c:f>
              <c:multiLvlStrCache>
                <c:ptCount val="1"/>
                <c:lvl>
                  <c:pt idx="0">
                    <c:v>Year 5</c:v>
                  </c:pt>
                </c:lvl>
                <c:lvl>
                  <c:pt idx="0">
                    <c:v>Year 4</c:v>
                  </c:pt>
                </c:lvl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'5-Year Projection'!$E$13</c:f>
              <c:numCache>
                <c:formatCode>#,##0" €";\(#,##0") €";\-</c:formatCode>
                <c:ptCount val="1"/>
                <c:pt idx="0">
                  <c:v>526427.368118616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'5-Year Projection'!$B$6:$F$6</c:f>
              <c:multiLvlStrCache>
                <c:ptCount val="1"/>
                <c:lvl>
                  <c:pt idx="0">
                    <c:v>Year 5</c:v>
                  </c:pt>
                </c:lvl>
                <c:lvl>
                  <c:pt idx="0">
                    <c:v>Year 4</c:v>
                  </c:pt>
                </c:lvl>
                <c:lvl>
                  <c:pt idx="0">
                    <c:v>Year 3</c:v>
                  </c:pt>
                </c:lvl>
                <c:lvl>
                  <c:pt idx="0">
                    <c:v>Year 2</c:v>
                  </c:pt>
                </c:lvl>
                <c:lvl>
                  <c:pt idx="0">
                    <c:v>Year 1</c:v>
                  </c:pt>
                </c:lvl>
              </c:multiLvlStrCache>
            </c:multiLvlStrRef>
          </c:cat>
          <c:val>
            <c:numRef>
              <c:f>'5-Year Projection'!$F$13</c:f>
              <c:numCache>
                <c:formatCode>#,##0" €";\(#,##0") €";\-</c:formatCode>
                <c:ptCount val="1"/>
                <c:pt idx="0">
                  <c:v>675551.333120174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4601621"/>
        <c:axId val="36446100"/>
      </c:lineChart>
      <c:catAx>
        <c:axId val="9460162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Year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446100"/>
        <c:crosses val="autoZero"/>
        <c:auto val="1"/>
        <c:lblAlgn val="ctr"/>
        <c:lblOffset val="100"/>
        <c:noMultiLvlLbl val="0"/>
      </c:catAx>
      <c:valAx>
        <c:axId val="3644610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EUR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\(#,##0&quot;) €&quot;;\-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6016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14</xdr:row>
      <xdr:rowOff>131040</xdr:rowOff>
    </xdr:from>
    <xdr:to>
      <xdr:col>6</xdr:col>
      <xdr:colOff>112680</xdr:colOff>
      <xdr:row>28</xdr:row>
      <xdr:rowOff>163080</xdr:rowOff>
    </xdr:to>
    <xdr:graphicFrame>
      <xdr:nvGraphicFramePr>
        <xdr:cNvPr id="0" name="Chart 1"/>
        <xdr:cNvGraphicFramePr/>
      </xdr:nvGraphicFramePr>
      <xdr:xfrm>
        <a:off x="2396520" y="2855160"/>
        <a:ext cx="5398920" cy="269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20"/>
  </cols>
  <sheetData>
    <row r="1" customFormat="false" ht="24" hidden="false" customHeight="true" outlineLevel="0" collapsed="false">
      <c r="A1" s="2" t="s">
        <v>0</v>
      </c>
    </row>
    <row r="2" customFormat="false" ht="15.75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</row>
    <row r="5" customFormat="false" ht="15" hidden="false" customHeight="true" outlineLevel="0" collapsed="false">
      <c r="A5" s="5" t="s">
        <v>3</v>
      </c>
    </row>
    <row r="6" customFormat="false" ht="15" hidden="false" customHeight="true" outlineLevel="0" collapsed="false">
      <c r="A6" s="1" t="s">
        <v>4</v>
      </c>
    </row>
    <row r="7" customFormat="false" ht="15" hidden="false" customHeight="true" outlineLevel="0" collapsed="false">
      <c r="A7" s="1" t="s">
        <v>5</v>
      </c>
    </row>
    <row r="8" customFormat="false" ht="15" hidden="false" customHeight="true" outlineLevel="0" collapsed="false">
      <c r="A8" s="1" t="s">
        <v>6</v>
      </c>
    </row>
    <row r="9" customFormat="false" ht="15" hidden="false" customHeight="true" outlineLevel="0" collapsed="false">
      <c r="A9" s="1" t="s">
        <v>7</v>
      </c>
    </row>
    <row r="11" customFormat="false" ht="15" hidden="false" customHeight="true" outlineLevel="0" collapsed="false">
      <c r="A11" s="5" t="s">
        <v>8</v>
      </c>
    </row>
    <row r="12" customFormat="false" ht="15" hidden="false" customHeight="true" outlineLevel="0" collapsed="false">
      <c r="A12" s="1" t="s">
        <v>9</v>
      </c>
      <c r="B12" s="6" t="n">
        <f aca="false">Assumptions!$B$6</f>
        <v>599000</v>
      </c>
    </row>
    <row r="13" customFormat="false" ht="15" hidden="false" customHeight="true" outlineLevel="0" collapsed="false">
      <c r="A13" s="1" t="s">
        <v>10</v>
      </c>
      <c r="B13" s="6" t="n">
        <f aca="false">'P&amp;L by Scenario'!C9</f>
        <v>279688.185</v>
      </c>
    </row>
    <row r="14" customFormat="false" ht="15" hidden="false" customHeight="true" outlineLevel="0" collapsed="false">
      <c r="A14" s="1" t="s">
        <v>11</v>
      </c>
      <c r="B14" s="6" t="n">
        <f aca="false">'P&amp;L by Scenario'!C12</f>
        <v>153600.663958</v>
      </c>
    </row>
    <row r="15" customFormat="false" ht="15" hidden="false" customHeight="true" outlineLevel="0" collapsed="false">
      <c r="A15" s="1" t="s">
        <v>12</v>
      </c>
      <c r="B15" s="6" t="n">
        <f aca="false">'P&amp;L by Scenario'!C15</f>
        <v>121504.663958</v>
      </c>
    </row>
    <row r="16" customFormat="false" ht="15" hidden="false" customHeight="true" outlineLevel="0" collapsed="false">
      <c r="A16" s="1" t="s">
        <v>13</v>
      </c>
      <c r="B16" s="7" t="n">
        <f aca="false">'P&amp;L by Scenario'!C18</f>
        <v>0.202845849679466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3" min="2" style="1" width="16"/>
    <col collapsed="false" customWidth="true" hidden="false" outlineLevel="0" max="4" min="4" style="1" width="70"/>
  </cols>
  <sheetData>
    <row r="1" customFormat="false" ht="19.5" hidden="false" customHeight="true" outlineLevel="0" collapsed="false">
      <c r="A1" s="8" t="s">
        <v>14</v>
      </c>
    </row>
    <row r="2" customFormat="false" ht="15" hidden="false" customHeight="true" outlineLevel="0" collapsed="false">
      <c r="A2" s="4" t="s">
        <v>15</v>
      </c>
    </row>
    <row r="3" customFormat="false" ht="15" hidden="false" customHeight="true" outlineLevel="0" collapsed="false">
      <c r="A3" s="4" t="s">
        <v>16</v>
      </c>
    </row>
    <row r="5" customFormat="false" ht="15" hidden="false" customHeight="true" outlineLevel="0" collapsed="false">
      <c r="A5" s="5" t="s">
        <v>17</v>
      </c>
    </row>
    <row r="6" customFormat="false" ht="15" hidden="false" customHeight="true" outlineLevel="0" collapsed="false">
      <c r="A6" s="1" t="s">
        <v>18</v>
      </c>
      <c r="B6" s="9" t="n">
        <v>599000</v>
      </c>
      <c r="D6" s="4" t="s">
        <v>19</v>
      </c>
    </row>
    <row r="7" customFormat="false" ht="15" hidden="false" customHeight="true" outlineLevel="0" collapsed="false">
      <c r="A7" s="1" t="s">
        <v>20</v>
      </c>
      <c r="B7" s="10" t="n">
        <v>0.9</v>
      </c>
      <c r="D7" s="4" t="s">
        <v>21</v>
      </c>
    </row>
    <row r="8" customFormat="false" ht="15" hidden="false" customHeight="true" outlineLevel="0" collapsed="false">
      <c r="A8" s="1" t="s">
        <v>22</v>
      </c>
      <c r="B8" s="10" t="n">
        <v>0.1</v>
      </c>
      <c r="D8" s="4" t="s">
        <v>21</v>
      </c>
    </row>
    <row r="10" customFormat="false" ht="15" hidden="false" customHeight="true" outlineLevel="0" collapsed="false">
      <c r="A10" s="5" t="s">
        <v>23</v>
      </c>
    </row>
    <row r="11" customFormat="false" ht="15" hidden="false" customHeight="true" outlineLevel="0" collapsed="false">
      <c r="A11" s="5" t="s">
        <v>24</v>
      </c>
      <c r="B11" s="5" t="s">
        <v>25</v>
      </c>
      <c r="C11" s="5" t="s">
        <v>26</v>
      </c>
    </row>
    <row r="12" customFormat="false" ht="15" hidden="false" customHeight="true" outlineLevel="0" collapsed="false">
      <c r="A12" s="1" t="s">
        <v>27</v>
      </c>
      <c r="B12" s="11" t="n">
        <v>4</v>
      </c>
      <c r="C12" s="9" t="n">
        <v>120</v>
      </c>
    </row>
    <row r="13" customFormat="false" ht="15" hidden="false" customHeight="true" outlineLevel="0" collapsed="false">
      <c r="A13" s="1" t="s">
        <v>28</v>
      </c>
      <c r="B13" s="11" t="n">
        <v>3</v>
      </c>
      <c r="C13" s="9" t="n">
        <v>155</v>
      </c>
    </row>
    <row r="14" customFormat="false" ht="15" hidden="false" customHeight="true" outlineLevel="0" collapsed="false">
      <c r="A14" s="1" t="s">
        <v>29</v>
      </c>
      <c r="B14" s="11" t="n">
        <v>2</v>
      </c>
      <c r="C14" s="9" t="n">
        <v>195</v>
      </c>
    </row>
    <row r="15" customFormat="false" ht="15" hidden="false" customHeight="true" outlineLevel="0" collapsed="false">
      <c r="A15" s="5" t="s">
        <v>30</v>
      </c>
      <c r="B15" s="5" t="n">
        <f aca="false">SUM(B12:B14)</f>
        <v>9</v>
      </c>
    </row>
    <row r="16" customFormat="false" ht="15" hidden="false" customHeight="true" outlineLevel="0" collapsed="false">
      <c r="A16" s="1" t="s">
        <v>31</v>
      </c>
      <c r="B16" s="12" t="n">
        <f aca="false">AVERAGE(C12:C14)</f>
        <v>156.666666666667</v>
      </c>
    </row>
    <row r="17" customFormat="false" ht="15" hidden="false" customHeight="true" outlineLevel="0" collapsed="false">
      <c r="A17" s="1" t="s">
        <v>32</v>
      </c>
      <c r="B17" s="12" t="n">
        <f aca="false">SUMPRODUCT(B12:B14,C12:C14)/B15</f>
        <v>148.333333333333</v>
      </c>
    </row>
    <row r="19" customFormat="false" ht="15" hidden="false" customHeight="true" outlineLevel="0" collapsed="false">
      <c r="A19" s="5" t="s">
        <v>33</v>
      </c>
    </row>
    <row r="20" customFormat="false" ht="15" hidden="false" customHeight="true" outlineLevel="0" collapsed="false">
      <c r="A20" s="1" t="s">
        <v>34</v>
      </c>
      <c r="B20" s="11" t="n">
        <v>365</v>
      </c>
    </row>
    <row r="21" customFormat="false" ht="45.75" hidden="false" customHeight="true" outlineLevel="0" collapsed="false">
      <c r="A21" s="1" t="s">
        <v>35</v>
      </c>
      <c r="B21" s="9" t="n">
        <v>121.63</v>
      </c>
      <c r="D21" s="13" t="s">
        <v>36</v>
      </c>
    </row>
    <row r="22" customFormat="false" ht="15" hidden="false" customHeight="true" outlineLevel="0" collapsed="false">
      <c r="A22" s="1" t="s">
        <v>37</v>
      </c>
      <c r="B22" s="10" t="n">
        <v>0.2132</v>
      </c>
    </row>
    <row r="23" customFormat="false" ht="15" hidden="false" customHeight="true" outlineLevel="0" collapsed="false">
      <c r="A23" s="1" t="s">
        <v>38</v>
      </c>
      <c r="B23" s="9" t="n">
        <v>66458</v>
      </c>
    </row>
    <row r="24" customFormat="false" ht="45.75" hidden="false" customHeight="true" outlineLevel="0" collapsed="false">
      <c r="A24" s="1" t="s">
        <v>39</v>
      </c>
      <c r="B24" s="9" t="n">
        <v>32096</v>
      </c>
      <c r="D24" s="13" t="s">
        <v>40</v>
      </c>
    </row>
    <row r="26" customFormat="false" ht="15" hidden="false" customHeight="true" outlineLevel="0" collapsed="false">
      <c r="A26" s="5" t="s">
        <v>41</v>
      </c>
    </row>
    <row r="27" customFormat="false" ht="15" hidden="false" customHeight="true" outlineLevel="0" collapsed="false">
      <c r="A27" s="5" t="s">
        <v>42</v>
      </c>
      <c r="B27" s="5" t="s">
        <v>43</v>
      </c>
    </row>
    <row r="28" customFormat="false" ht="15" hidden="false" customHeight="true" outlineLevel="0" collapsed="false">
      <c r="A28" s="1" t="s">
        <v>44</v>
      </c>
      <c r="B28" s="10" t="n">
        <v>0.55</v>
      </c>
    </row>
    <row r="29" customFormat="false" ht="15" hidden="false" customHeight="true" outlineLevel="0" collapsed="false">
      <c r="A29" s="1" t="s">
        <v>45</v>
      </c>
      <c r="B29" s="10" t="n">
        <v>0.7</v>
      </c>
    </row>
    <row r="30" customFormat="false" ht="15" hidden="false" customHeight="true" outlineLevel="0" collapsed="false">
      <c r="A30" s="1" t="s">
        <v>46</v>
      </c>
      <c r="B30" s="10" t="n">
        <v>0.85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14"/>
    <col collapsed="false" customWidth="true" hidden="false" outlineLevel="0" max="3" min="3" style="1" width="18"/>
  </cols>
  <sheetData>
    <row r="1" customFormat="false" ht="19.5" hidden="false" customHeight="true" outlineLevel="0" collapsed="false">
      <c r="A1" s="8" t="s">
        <v>47</v>
      </c>
    </row>
    <row r="2" customFormat="false" ht="15" hidden="false" customHeight="true" outlineLevel="0" collapsed="false">
      <c r="A2" s="4" t="s">
        <v>48</v>
      </c>
    </row>
    <row r="4" customFormat="false" ht="15" hidden="false" customHeight="true" outlineLevel="0" collapsed="false">
      <c r="A4" s="14" t="s">
        <v>49</v>
      </c>
      <c r="B4" s="15" t="s">
        <v>50</v>
      </c>
      <c r="C4" s="15" t="s">
        <v>51</v>
      </c>
    </row>
    <row r="5" customFormat="false" ht="15" hidden="false" customHeight="true" outlineLevel="0" collapsed="false">
      <c r="A5" s="16" t="s">
        <v>52</v>
      </c>
      <c r="B5" s="17" t="n">
        <v>0.344</v>
      </c>
      <c r="C5" s="18" t="n">
        <f aca="false">B5*Assumptions!$B$6</f>
        <v>206056</v>
      </c>
    </row>
    <row r="6" customFormat="false" ht="15" hidden="false" customHeight="true" outlineLevel="0" collapsed="false">
      <c r="A6" s="16" t="s">
        <v>53</v>
      </c>
      <c r="B6" s="17" t="n">
        <v>0.297</v>
      </c>
      <c r="C6" s="18" t="n">
        <f aca="false">B6*Assumptions!$B$6</f>
        <v>177903</v>
      </c>
    </row>
    <row r="7" customFormat="false" ht="15" hidden="false" customHeight="true" outlineLevel="0" collapsed="false">
      <c r="A7" s="16" t="s">
        <v>54</v>
      </c>
      <c r="B7" s="17" t="n">
        <v>0.154</v>
      </c>
      <c r="C7" s="18" t="n">
        <f aca="false">B7*Assumptions!$B$6</f>
        <v>92246</v>
      </c>
    </row>
    <row r="8" customFormat="false" ht="15" hidden="false" customHeight="true" outlineLevel="0" collapsed="false">
      <c r="A8" s="16" t="s">
        <v>55</v>
      </c>
      <c r="B8" s="17" t="n">
        <v>0.089</v>
      </c>
      <c r="C8" s="18" t="n">
        <f aca="false">B8*Assumptions!$B$6</f>
        <v>53311</v>
      </c>
    </row>
    <row r="9" customFormat="false" ht="15" hidden="false" customHeight="true" outlineLevel="0" collapsed="false">
      <c r="A9" s="16" t="s">
        <v>56</v>
      </c>
      <c r="B9" s="17" t="n">
        <v>0.062</v>
      </c>
      <c r="C9" s="18" t="n">
        <f aca="false">B9*Assumptions!$B$6</f>
        <v>37138</v>
      </c>
    </row>
    <row r="10" customFormat="false" ht="15" hidden="false" customHeight="true" outlineLevel="0" collapsed="false">
      <c r="A10" s="16" t="s">
        <v>57</v>
      </c>
      <c r="B10" s="17" t="n">
        <v>0.052</v>
      </c>
      <c r="C10" s="18" t="n">
        <f aca="false">B10*Assumptions!$B$6</f>
        <v>31148</v>
      </c>
    </row>
    <row r="11" customFormat="false" ht="15" hidden="false" customHeight="true" outlineLevel="0" collapsed="false">
      <c r="A11" s="19" t="s">
        <v>58</v>
      </c>
      <c r="B11" s="20" t="n">
        <f aca="false">SUM(B5:B10)</f>
        <v>0.998</v>
      </c>
      <c r="C11" s="21" t="n">
        <f aca="false">SUM(C5:C10)</f>
        <v>597802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46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16"/>
  </cols>
  <sheetData>
    <row r="1" customFormat="false" ht="19.5" hidden="false" customHeight="true" outlineLevel="0" collapsed="false">
      <c r="A1" s="8" t="s">
        <v>59</v>
      </c>
    </row>
    <row r="2" customFormat="false" ht="15" hidden="false" customHeight="true" outlineLevel="0" collapsed="false">
      <c r="A2" s="4" t="s">
        <v>60</v>
      </c>
    </row>
    <row r="4" customFormat="false" ht="15" hidden="false" customHeight="true" outlineLevel="0" collapsed="false">
      <c r="A4" s="14" t="s">
        <v>61</v>
      </c>
      <c r="B4" s="15" t="s">
        <v>62</v>
      </c>
      <c r="C4" s="15" t="s">
        <v>63</v>
      </c>
      <c r="D4" s="15" t="s">
        <v>50</v>
      </c>
      <c r="E4" s="15" t="s">
        <v>51</v>
      </c>
    </row>
    <row r="5" customFormat="false" ht="30" hidden="false" customHeight="true" outlineLevel="0" collapsed="false">
      <c r="A5" s="16" t="s">
        <v>64</v>
      </c>
      <c r="B5" s="22" t="s">
        <v>65</v>
      </c>
      <c r="C5" s="16" t="s">
        <v>66</v>
      </c>
      <c r="D5" s="17" t="n">
        <v>0.1</v>
      </c>
      <c r="E5" s="18" t="n">
        <f aca="false">D5*Assumptions!$B$6</f>
        <v>59900</v>
      </c>
    </row>
    <row r="6" customFormat="false" ht="30" hidden="false" customHeight="true" outlineLevel="0" collapsed="false">
      <c r="A6" s="16" t="s">
        <v>67</v>
      </c>
      <c r="B6" s="22" t="s">
        <v>68</v>
      </c>
      <c r="C6" s="16" t="s">
        <v>69</v>
      </c>
      <c r="D6" s="17" t="n">
        <v>0.35</v>
      </c>
      <c r="E6" s="18" t="n">
        <f aca="false">D6*Assumptions!$B$6</f>
        <v>209650</v>
      </c>
    </row>
    <row r="7" customFormat="false" ht="30" hidden="false" customHeight="true" outlineLevel="0" collapsed="false">
      <c r="A7" s="16" t="s">
        <v>70</v>
      </c>
      <c r="B7" s="22" t="s">
        <v>71</v>
      </c>
      <c r="C7" s="16" t="s">
        <v>72</v>
      </c>
      <c r="D7" s="17" t="n">
        <v>0.2</v>
      </c>
      <c r="E7" s="18" t="n">
        <f aca="false">D7*Assumptions!$B$6</f>
        <v>119800</v>
      </c>
    </row>
    <row r="8" customFormat="false" ht="30" hidden="false" customHeight="true" outlineLevel="0" collapsed="false">
      <c r="A8" s="16" t="s">
        <v>73</v>
      </c>
      <c r="B8" s="22" t="s">
        <v>74</v>
      </c>
      <c r="C8" s="16" t="s">
        <v>75</v>
      </c>
      <c r="D8" s="17" t="n">
        <v>0.2</v>
      </c>
      <c r="E8" s="18" t="n">
        <f aca="false">D8*Assumptions!$B$6</f>
        <v>119800</v>
      </c>
    </row>
    <row r="9" customFormat="false" ht="30" hidden="false" customHeight="true" outlineLevel="0" collapsed="false">
      <c r="A9" s="16" t="s">
        <v>76</v>
      </c>
      <c r="B9" s="22" t="s">
        <v>77</v>
      </c>
      <c r="C9" s="16" t="s">
        <v>78</v>
      </c>
      <c r="D9" s="17" t="n">
        <v>0.1</v>
      </c>
      <c r="E9" s="18" t="n">
        <f aca="false">D9*Assumptions!$B$6</f>
        <v>59900</v>
      </c>
    </row>
    <row r="10" customFormat="false" ht="30" hidden="false" customHeight="true" outlineLevel="0" collapsed="false">
      <c r="A10" s="16" t="s">
        <v>79</v>
      </c>
      <c r="B10" s="22" t="s">
        <v>80</v>
      </c>
      <c r="C10" s="16" t="s">
        <v>81</v>
      </c>
      <c r="D10" s="17" t="n">
        <v>0.05</v>
      </c>
      <c r="E10" s="18" t="n">
        <f aca="false">D10*Assumptions!$B$6</f>
        <v>29950</v>
      </c>
    </row>
    <row r="11" customFormat="false" ht="15" hidden="false" customHeight="true" outlineLevel="0" collapsed="false">
      <c r="A11" s="19" t="s">
        <v>58</v>
      </c>
      <c r="B11" s="16"/>
      <c r="C11" s="16"/>
      <c r="D11" s="20" t="n">
        <f aca="false">SUM(D5:D10)</f>
        <v>1</v>
      </c>
      <c r="E11" s="21" t="n">
        <f aca="false">SUM(E5:E10)</f>
        <v>599000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4" min="2" style="1" width="16"/>
  </cols>
  <sheetData>
    <row r="1" customFormat="false" ht="19.5" hidden="false" customHeight="true" outlineLevel="0" collapsed="false">
      <c r="A1" s="8" t="s">
        <v>82</v>
      </c>
    </row>
    <row r="2" customFormat="false" ht="15" hidden="false" customHeight="true" outlineLevel="0" collapsed="false">
      <c r="A2" s="4" t="s">
        <v>83</v>
      </c>
    </row>
    <row r="4" customFormat="false" ht="15" hidden="false" customHeight="true" outlineLevel="0" collapsed="false">
      <c r="A4" s="14"/>
      <c r="B4" s="15" t="s">
        <v>44</v>
      </c>
      <c r="C4" s="15" t="s">
        <v>45</v>
      </c>
      <c r="D4" s="15" t="s">
        <v>46</v>
      </c>
    </row>
    <row r="5" customFormat="false" ht="15" hidden="false" customHeight="true" outlineLevel="0" collapsed="false">
      <c r="A5" s="19" t="s">
        <v>43</v>
      </c>
      <c r="B5" s="20" t="n">
        <f aca="false">Assumptions!$B$28</f>
        <v>0.55</v>
      </c>
      <c r="C5" s="20" t="n">
        <f aca="false">Assumptions!$B$29</f>
        <v>0.7</v>
      </c>
      <c r="D5" s="20" t="n">
        <f aca="false">Assumptions!$B$30</f>
        <v>0.85</v>
      </c>
    </row>
    <row r="6" customFormat="false" ht="15" hidden="false" customHeight="true" outlineLevel="0" collapsed="false">
      <c r="A6" s="23" t="s">
        <v>84</v>
      </c>
      <c r="B6" s="18" t="n">
        <f aca="false">Assumptions!$B$15*Assumptions!$B$20</f>
        <v>3285</v>
      </c>
      <c r="C6" s="18" t="n">
        <f aca="false">Assumptions!$B$15*Assumptions!$B$20</f>
        <v>3285</v>
      </c>
      <c r="D6" s="18" t="n">
        <f aca="false">Assumptions!$B$15*Assumptions!$B$20</f>
        <v>3285</v>
      </c>
    </row>
    <row r="7" customFormat="false" ht="15" hidden="false" customHeight="true" outlineLevel="0" collapsed="false">
      <c r="A7" s="23" t="s">
        <v>85</v>
      </c>
      <c r="B7" s="18" t="n">
        <f aca="false">B6*Assumptions!$B$28</f>
        <v>1806.75</v>
      </c>
      <c r="C7" s="18" t="n">
        <f aca="false">C6*Assumptions!$B$29</f>
        <v>2299.5</v>
      </c>
      <c r="D7" s="18" t="n">
        <f aca="false">D6*Assumptions!$B$30</f>
        <v>2792.25</v>
      </c>
    </row>
    <row r="8" customFormat="false" ht="15" hidden="false" customHeight="true" outlineLevel="0" collapsed="false">
      <c r="A8" s="23" t="s">
        <v>86</v>
      </c>
      <c r="B8" s="18" t="n">
        <f aca="false">Assumptions!$B$21</f>
        <v>121.63</v>
      </c>
      <c r="C8" s="18" t="n">
        <f aca="false">Assumptions!$B$21</f>
        <v>121.63</v>
      </c>
      <c r="D8" s="18" t="n">
        <f aca="false">Assumptions!$B$21</f>
        <v>121.63</v>
      </c>
    </row>
    <row r="9" customFormat="false" ht="15" hidden="false" customHeight="true" outlineLevel="0" collapsed="false">
      <c r="A9" s="19" t="s">
        <v>10</v>
      </c>
      <c r="B9" s="24" t="n">
        <f aca="false">B7*B8</f>
        <v>219755.0025</v>
      </c>
      <c r="C9" s="24" t="n">
        <f aca="false">C7*C8</f>
        <v>279688.185</v>
      </c>
      <c r="D9" s="24" t="n">
        <f aca="false">D7*D8</f>
        <v>339621.3675</v>
      </c>
    </row>
    <row r="10" customFormat="false" ht="15" hidden="false" customHeight="true" outlineLevel="0" collapsed="false">
      <c r="A10" s="23" t="s">
        <v>87</v>
      </c>
      <c r="B10" s="18" t="n">
        <f aca="false">-B9*Assumptions!$B$22</f>
        <v>-46851.766533</v>
      </c>
      <c r="C10" s="18" t="n">
        <f aca="false">-C9*Assumptions!$B$22</f>
        <v>-59629.521042</v>
      </c>
      <c r="D10" s="18" t="n">
        <f aca="false">-D9*Assumptions!$B$22</f>
        <v>-72407.275551</v>
      </c>
    </row>
    <row r="11" customFormat="false" ht="15" hidden="false" customHeight="true" outlineLevel="0" collapsed="false">
      <c r="A11" s="23" t="s">
        <v>88</v>
      </c>
      <c r="B11" s="18" t="n">
        <f aca="false">-Assumptions!$B$23</f>
        <v>-66458</v>
      </c>
      <c r="C11" s="18" t="n">
        <f aca="false">-Assumptions!$B$23</f>
        <v>-66458</v>
      </c>
      <c r="D11" s="18" t="n">
        <f aca="false">-Assumptions!$B$23</f>
        <v>-66458</v>
      </c>
    </row>
    <row r="12" customFormat="false" ht="15" hidden="false" customHeight="true" outlineLevel="0" collapsed="false">
      <c r="A12" s="19" t="s">
        <v>11</v>
      </c>
      <c r="B12" s="25" t="n">
        <f aca="false">B9+B10+B11</f>
        <v>106445.235967</v>
      </c>
      <c r="C12" s="25" t="n">
        <f aca="false">C9+C10+C11</f>
        <v>153600.663958</v>
      </c>
      <c r="D12" s="25" t="n">
        <f aca="false">D9+D10+D11</f>
        <v>200756.091949</v>
      </c>
    </row>
    <row r="13" customFormat="false" ht="15" hidden="false" customHeight="true" outlineLevel="0" collapsed="false">
      <c r="A13" s="23" t="s">
        <v>89</v>
      </c>
      <c r="B13" s="26" t="n">
        <f aca="false">B12/B9</f>
        <v>0.484381400905766</v>
      </c>
      <c r="C13" s="26" t="n">
        <f aca="false">C12/C9</f>
        <v>0.549185386425959</v>
      </c>
      <c r="D13" s="26" t="n">
        <f aca="false">D12/D9</f>
        <v>0.591117377056672</v>
      </c>
    </row>
    <row r="14" customFormat="false" ht="15" hidden="false" customHeight="true" outlineLevel="0" collapsed="false">
      <c r="A14" s="23" t="s">
        <v>90</v>
      </c>
      <c r="B14" s="18" t="n">
        <f aca="false">-Assumptions!$B$24</f>
        <v>-32096</v>
      </c>
      <c r="C14" s="18" t="n">
        <f aca="false">-Assumptions!$B$24</f>
        <v>-32096</v>
      </c>
      <c r="D14" s="18" t="n">
        <f aca="false">-Assumptions!$B$24</f>
        <v>-32096</v>
      </c>
    </row>
    <row r="15" customFormat="false" ht="15" hidden="false" customHeight="true" outlineLevel="0" collapsed="false">
      <c r="A15" s="19" t="s">
        <v>12</v>
      </c>
      <c r="B15" s="25" t="n">
        <f aca="false">B12+B14</f>
        <v>74349.235967</v>
      </c>
      <c r="C15" s="25" t="n">
        <f aca="false">C12+C14</f>
        <v>121504.663958</v>
      </c>
      <c r="D15" s="25" t="n">
        <f aca="false">D12+D14</f>
        <v>168660.091949</v>
      </c>
    </row>
    <row r="16" customFormat="false" ht="15" hidden="false" customHeight="true" outlineLevel="0" collapsed="false">
      <c r="A16" s="23" t="s">
        <v>91</v>
      </c>
      <c r="B16" s="26" t="n">
        <f aca="false">B15/B9</f>
        <v>0.338327842921346</v>
      </c>
      <c r="C16" s="26" t="n">
        <f aca="false">C15/C9</f>
        <v>0.4344290194382</v>
      </c>
      <c r="D16" s="26" t="n">
        <f aca="false">D15/D9</f>
        <v>0.496612133654989</v>
      </c>
    </row>
    <row r="18" customFormat="false" ht="15" hidden="false" customHeight="true" outlineLevel="0" collapsed="false">
      <c r="A18" s="19" t="s">
        <v>92</v>
      </c>
      <c r="B18" s="20" t="n">
        <f aca="false">B15/Assumptions!$B$6</f>
        <v>0.124122263717863</v>
      </c>
      <c r="C18" s="20" t="n">
        <f aca="false">C15/Assumptions!$B$6</f>
        <v>0.202845849679466</v>
      </c>
      <c r="D18" s="20" t="n">
        <f aca="false">D15/Assumptions!$B$6</f>
        <v>0.281569435641069</v>
      </c>
    </row>
    <row r="19" customFormat="false" ht="15" hidden="false" customHeight="true" outlineLevel="0" collapsed="false">
      <c r="A19" s="19" t="s">
        <v>93</v>
      </c>
      <c r="B19" s="27" t="n">
        <f aca="false">Assumptions!$B$6/B15</f>
        <v>8.05657236700949</v>
      </c>
      <c r="C19" s="27" t="n">
        <f aca="false">Assumptions!$B$6/C15</f>
        <v>4.92985191257394</v>
      </c>
      <c r="D19" s="27" t="n">
        <f aca="false">Assumptions!$B$6/D15</f>
        <v>3.55152183944692</v>
      </c>
    </row>
    <row r="22" customFormat="false" ht="15" hidden="false" customHeight="true" outlineLevel="0" collapsed="false">
      <c r="A22" s="28" t="s">
        <v>94</v>
      </c>
    </row>
    <row r="23" customFormat="false" ht="15" hidden="false" customHeight="true" outlineLevel="0" collapsed="false">
      <c r="A23" s="1" t="s">
        <v>95</v>
      </c>
      <c r="B23" s="29" t="n">
        <v>219761</v>
      </c>
      <c r="C23" s="29" t="n">
        <v>279696</v>
      </c>
      <c r="D23" s="29" t="n">
        <v>339631</v>
      </c>
    </row>
    <row r="24" customFormat="false" ht="15" hidden="false" customHeight="true" outlineLevel="0" collapsed="false">
      <c r="A24" s="1" t="s">
        <v>96</v>
      </c>
      <c r="B24" s="30" t="n">
        <f aca="false">B9-219761</f>
        <v>-5.99749999996857</v>
      </c>
      <c r="C24" s="30" t="n">
        <f aca="false">C9-279696</f>
        <v>-7.81500000000233</v>
      </c>
      <c r="D24" s="30" t="n">
        <f aca="false">D9-339631</f>
        <v>-9.63250000000699</v>
      </c>
    </row>
    <row r="25" customFormat="false" ht="15" hidden="false" customHeight="true" outlineLevel="0" collapsed="false">
      <c r="A25" s="1" t="s">
        <v>97</v>
      </c>
      <c r="B25" s="29" t="n">
        <v>106447</v>
      </c>
      <c r="C25" s="29" t="n">
        <v>153603</v>
      </c>
      <c r="D25" s="29" t="n">
        <v>198976</v>
      </c>
    </row>
    <row r="26" customFormat="false" ht="15" hidden="false" customHeight="true" outlineLevel="0" collapsed="false">
      <c r="A26" s="1" t="s">
        <v>96</v>
      </c>
      <c r="B26" s="30" t="n">
        <f aca="false">B12-106447</f>
        <v>-1.76403299998492</v>
      </c>
      <c r="C26" s="30" t="n">
        <f aca="false">C12-153603</f>
        <v>-2.33604200000991</v>
      </c>
      <c r="D26" s="30" t="n">
        <f aca="false">D12-198976</f>
        <v>1780.09194900002</v>
      </c>
    </row>
    <row r="27" customFormat="false" ht="15" hidden="false" customHeight="true" outlineLevel="0" collapsed="false">
      <c r="A27" s="1" t="s">
        <v>98</v>
      </c>
      <c r="B27" s="29" t="n">
        <v>74398</v>
      </c>
      <c r="C27" s="29" t="n">
        <v>121507</v>
      </c>
      <c r="D27" s="29" t="n">
        <v>158952</v>
      </c>
    </row>
    <row r="28" customFormat="false" ht="15" hidden="false" customHeight="true" outlineLevel="0" collapsed="false">
      <c r="A28" s="1" t="s">
        <v>96</v>
      </c>
      <c r="B28" s="30" t="n">
        <f aca="false">B15-74398</f>
        <v>-48.7640329999849</v>
      </c>
      <c r="C28" s="30" t="n">
        <f aca="false">C15-121507</f>
        <v>-2.33604200000991</v>
      </c>
      <c r="D28" s="30" t="n">
        <f aca="false">D15-158952</f>
        <v>9708.09194900002</v>
      </c>
    </row>
    <row r="30" customFormat="false" ht="45" hidden="false" customHeight="true" outlineLevel="0" collapsed="false">
      <c r="A30" s="31" t="s">
        <v>99</v>
      </c>
      <c r="B30" s="31"/>
      <c r="C30" s="31"/>
      <c r="D30" s="31"/>
    </row>
  </sheetData>
  <mergeCells count="1">
    <mergeCell ref="A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6" min="2" style="1" width="15"/>
  </cols>
  <sheetData>
    <row r="1" customFormat="false" ht="19.5" hidden="false" customHeight="true" outlineLevel="0" collapsed="false">
      <c r="A1" s="8" t="s">
        <v>100</v>
      </c>
    </row>
    <row r="2" customFormat="false" ht="15" hidden="false" customHeight="true" outlineLevel="0" collapsed="false">
      <c r="A2" s="4" t="s">
        <v>101</v>
      </c>
    </row>
    <row r="4" customFormat="false" ht="15" hidden="false" customHeight="true" outlineLevel="0" collapsed="false">
      <c r="A4" s="1" t="s">
        <v>102</v>
      </c>
      <c r="B4" s="10" t="n">
        <v>0.03</v>
      </c>
    </row>
    <row r="6" customFormat="false" ht="15" hidden="false" customHeight="true" outlineLevel="0" collapsed="false">
      <c r="A6" s="14"/>
      <c r="B6" s="15" t="s">
        <v>103</v>
      </c>
      <c r="C6" s="15" t="s">
        <v>104</v>
      </c>
      <c r="D6" s="15" t="s">
        <v>105</v>
      </c>
      <c r="E6" s="15" t="s">
        <v>106</v>
      </c>
      <c r="F6" s="15" t="s">
        <v>107</v>
      </c>
    </row>
    <row r="7" customFormat="false" ht="15" hidden="false" customHeight="true" outlineLevel="0" collapsed="false">
      <c r="A7" s="16" t="s">
        <v>10</v>
      </c>
      <c r="B7" s="18" t="n">
        <f aca="false">'P&amp;L by Scenario'!C9</f>
        <v>279688.185</v>
      </c>
      <c r="C7" s="18" t="n">
        <f aca="false">B7*(1+$B$4)</f>
        <v>288078.83055</v>
      </c>
      <c r="D7" s="18" t="n">
        <f aca="false">C7*(1+$B$4)</f>
        <v>296721.1954665</v>
      </c>
      <c r="E7" s="18" t="n">
        <f aca="false">D7*(1+$B$4)</f>
        <v>305622.831330495</v>
      </c>
      <c r="F7" s="18" t="n">
        <f aca="false">E7*(1+$B$4)</f>
        <v>314791.51627041</v>
      </c>
    </row>
    <row r="8" customFormat="false" ht="15" hidden="false" customHeight="true" outlineLevel="0" collapsed="false">
      <c r="A8" s="16" t="s">
        <v>87</v>
      </c>
      <c r="B8" s="18" t="n">
        <f aca="false">-B7*Assumptions!$B$22</f>
        <v>-59629.521042</v>
      </c>
      <c r="C8" s="18" t="n">
        <f aca="false">-C7*Assumptions!$B$22</f>
        <v>-61418.40667326</v>
      </c>
      <c r="D8" s="18" t="n">
        <f aca="false">-D7*Assumptions!$B$22</f>
        <v>-63260.9588734578</v>
      </c>
      <c r="E8" s="18" t="n">
        <f aca="false">-E7*Assumptions!$B$22</f>
        <v>-65158.7876396615</v>
      </c>
      <c r="F8" s="18" t="n">
        <f aca="false">-F7*Assumptions!$B$22</f>
        <v>-67113.5512688514</v>
      </c>
    </row>
    <row r="9" customFormat="false" ht="15" hidden="false" customHeight="true" outlineLevel="0" collapsed="false">
      <c r="A9" s="16" t="s">
        <v>88</v>
      </c>
      <c r="B9" s="18" t="n">
        <f aca="false">-Assumptions!$B$23</f>
        <v>-66458</v>
      </c>
      <c r="C9" s="18" t="n">
        <f aca="false">-Assumptions!$B$23</f>
        <v>-66458</v>
      </c>
      <c r="D9" s="18" t="n">
        <f aca="false">-Assumptions!$B$23</f>
        <v>-66458</v>
      </c>
      <c r="E9" s="18" t="n">
        <f aca="false">-Assumptions!$B$23</f>
        <v>-66458</v>
      </c>
      <c r="F9" s="18" t="n">
        <f aca="false">-Assumptions!$B$23</f>
        <v>-66458</v>
      </c>
    </row>
    <row r="10" customFormat="false" ht="15" hidden="false" customHeight="true" outlineLevel="0" collapsed="false">
      <c r="A10" s="19" t="s">
        <v>11</v>
      </c>
      <c r="B10" s="25" t="n">
        <f aca="false">B7+B8+B9</f>
        <v>153600.663958</v>
      </c>
      <c r="C10" s="25" t="n">
        <f aca="false">C7+C8+C9</f>
        <v>160202.42387674</v>
      </c>
      <c r="D10" s="25" t="n">
        <f aca="false">D7+D8+D9</f>
        <v>167002.236593042</v>
      </c>
      <c r="E10" s="25" t="n">
        <f aca="false">E7+E8+E9</f>
        <v>174006.043690833</v>
      </c>
      <c r="F10" s="25" t="n">
        <f aca="false">F7+F8+F9</f>
        <v>181219.965001558</v>
      </c>
    </row>
    <row r="11" customFormat="false" ht="15" hidden="false" customHeight="true" outlineLevel="0" collapsed="false">
      <c r="A11" s="16" t="s">
        <v>90</v>
      </c>
      <c r="B11" s="18" t="n">
        <f aca="false">-Assumptions!$B$24</f>
        <v>-32096</v>
      </c>
      <c r="C11" s="18" t="n">
        <f aca="false">-Assumptions!$B$24</f>
        <v>-32096</v>
      </c>
      <c r="D11" s="18" t="n">
        <f aca="false">-Assumptions!$B$24</f>
        <v>-32096</v>
      </c>
      <c r="E11" s="18" t="n">
        <f aca="false">-Assumptions!$B$24</f>
        <v>-32096</v>
      </c>
      <c r="F11" s="18" t="n">
        <f aca="false">-Assumptions!$B$24</f>
        <v>-32096</v>
      </c>
    </row>
    <row r="12" customFormat="false" ht="15" hidden="false" customHeight="true" outlineLevel="0" collapsed="false">
      <c r="A12" s="19" t="s">
        <v>12</v>
      </c>
      <c r="B12" s="25" t="n">
        <f aca="false">B10+B11</f>
        <v>121504.663958</v>
      </c>
      <c r="C12" s="25" t="n">
        <f aca="false">C10+C11</f>
        <v>128106.42387674</v>
      </c>
      <c r="D12" s="25" t="n">
        <f aca="false">D10+D11</f>
        <v>134906.236593042</v>
      </c>
      <c r="E12" s="25" t="n">
        <f aca="false">E10+E11</f>
        <v>141910.043690833</v>
      </c>
      <c r="F12" s="25" t="n">
        <f aca="false">F10+F11</f>
        <v>149123.965001558</v>
      </c>
    </row>
    <row r="13" customFormat="false" ht="15" hidden="false" customHeight="true" outlineLevel="0" collapsed="false">
      <c r="A13" s="19" t="s">
        <v>108</v>
      </c>
      <c r="B13" s="21" t="n">
        <f aca="false">B12</f>
        <v>121504.663958</v>
      </c>
      <c r="C13" s="21" t="n">
        <f aca="false">B13+C12</f>
        <v>249611.08783474</v>
      </c>
      <c r="D13" s="21" t="n">
        <f aca="false">C13+D12</f>
        <v>384517.324427782</v>
      </c>
      <c r="E13" s="21" t="n">
        <f aca="false">D13+E12</f>
        <v>526427.368118616</v>
      </c>
      <c r="F13" s="21" t="n">
        <f aca="false">E13+F12</f>
        <v>675551.333120174</v>
      </c>
    </row>
    <row r="14" customFormat="false" ht="15" hidden="false" customHeight="true" outlineLevel="0" collapsed="false">
      <c r="A14" s="19" t="s">
        <v>109</v>
      </c>
      <c r="B14" s="20" t="n">
        <f aca="false">B13/Assumptions!$B$6</f>
        <v>0.202845849679466</v>
      </c>
      <c r="C14" s="20" t="n">
        <f aca="false">C13/Assumptions!$B$6</f>
        <v>0.416713001393556</v>
      </c>
      <c r="D14" s="20" t="n">
        <f aca="false">D13/Assumptions!$B$6</f>
        <v>0.641932094203309</v>
      </c>
      <c r="E14" s="20" t="n">
        <f aca="false">E13/Assumptions!$B$6</f>
        <v>0.878843686341596</v>
      </c>
      <c r="F14" s="20" t="n">
        <f aca="false">F13/Assumptions!$B$6</f>
        <v>1.12779855278827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1" width="16"/>
    <col collapsed="false" customWidth="true" hidden="false" outlineLevel="0" max="6" min="5" style="1" width="12"/>
  </cols>
  <sheetData>
    <row r="1" customFormat="false" ht="19.5" hidden="false" customHeight="true" outlineLevel="0" collapsed="false">
      <c r="A1" s="8" t="s">
        <v>110</v>
      </c>
    </row>
    <row r="2" customFormat="false" ht="15" hidden="false" customHeight="true" outlineLevel="0" collapsed="false">
      <c r="A2" s="4" t="s">
        <v>111</v>
      </c>
    </row>
    <row r="4" customFormat="false" ht="15" hidden="false" customHeight="true" outlineLevel="0" collapsed="false">
      <c r="A4" s="1" t="s">
        <v>112</v>
      </c>
      <c r="B4" s="32" t="n">
        <v>6</v>
      </c>
    </row>
    <row r="5" customFormat="false" ht="124.5" hidden="false" customHeight="true" outlineLevel="0" collapsed="false">
      <c r="A5" s="1" t="s">
        <v>113</v>
      </c>
      <c r="B5" s="32" t="n">
        <v>9</v>
      </c>
      <c r="D5" s="13" t="s">
        <v>114</v>
      </c>
    </row>
    <row r="7" customFormat="false" ht="15" hidden="false" customHeight="true" outlineLevel="0" collapsed="false">
      <c r="A7" s="14" t="s">
        <v>42</v>
      </c>
      <c r="B7" s="15" t="s">
        <v>115</v>
      </c>
      <c r="C7" s="15" t="s">
        <v>116</v>
      </c>
      <c r="D7" s="15" t="s">
        <v>117</v>
      </c>
      <c r="E7" s="15" t="s">
        <v>118</v>
      </c>
      <c r="F7" s="15" t="s">
        <v>119</v>
      </c>
    </row>
    <row r="8" customFormat="false" ht="15" hidden="false" customHeight="true" outlineLevel="0" collapsed="false">
      <c r="A8" s="16" t="s">
        <v>44</v>
      </c>
      <c r="B8" s="18" t="n">
        <f aca="false">'P&amp;L by Scenario'!B12</f>
        <v>106445.235967</v>
      </c>
      <c r="C8" s="18" t="n">
        <f aca="false">B8*$B$4</f>
        <v>638671.415802</v>
      </c>
      <c r="D8" s="18" t="n">
        <f aca="false">B8*$B$5</f>
        <v>958007.123703</v>
      </c>
      <c r="E8" s="33" t="n">
        <f aca="false">C8/Assumptions!$B$6</f>
        <v>1.06622940868447</v>
      </c>
      <c r="F8" s="33" t="n">
        <f aca="false">D8/Assumptions!$B$6</f>
        <v>1.59934411302671</v>
      </c>
    </row>
    <row r="9" customFormat="false" ht="15" hidden="false" customHeight="true" outlineLevel="0" collapsed="false">
      <c r="A9" s="34" t="s">
        <v>45</v>
      </c>
      <c r="B9" s="25" t="n">
        <f aca="false">'P&amp;L by Scenario'!C12</f>
        <v>153600.663958</v>
      </c>
      <c r="C9" s="25" t="n">
        <f aca="false">B9*$B$4</f>
        <v>921603.983748</v>
      </c>
      <c r="D9" s="25" t="n">
        <f aca="false">B9*$B$5</f>
        <v>1382405.975622</v>
      </c>
      <c r="E9" s="35" t="n">
        <f aca="false">C9/Assumptions!$B$6</f>
        <v>1.53857092445409</v>
      </c>
      <c r="F9" s="35" t="n">
        <f aca="false">D9/Assumptions!$B$6</f>
        <v>2.30785638668114</v>
      </c>
    </row>
    <row r="10" customFormat="false" ht="15" hidden="false" customHeight="true" outlineLevel="0" collapsed="false">
      <c r="A10" s="16" t="s">
        <v>46</v>
      </c>
      <c r="B10" s="18" t="n">
        <f aca="false">'P&amp;L by Scenario'!D12</f>
        <v>200756.091949</v>
      </c>
      <c r="C10" s="18" t="n">
        <f aca="false">B10*$B$4</f>
        <v>1204536.551694</v>
      </c>
      <c r="D10" s="18" t="n">
        <f aca="false">B10*$B$5</f>
        <v>1806804.827541</v>
      </c>
      <c r="E10" s="33" t="n">
        <f aca="false">C10/Assumptions!$B$6</f>
        <v>2.01091244022371</v>
      </c>
      <c r="F10" s="33" t="n">
        <f aca="false">D10/Assumptions!$B$6</f>
        <v>3.01636866033556</v>
      </c>
    </row>
    <row r="12" customFormat="false" ht="30" hidden="false" customHeight="true" outlineLevel="0" collapsed="false">
      <c r="A12" s="31" t="s">
        <v>120</v>
      </c>
      <c r="B12" s="31"/>
      <c r="C12" s="31"/>
      <c r="D12" s="31"/>
      <c r="E12" s="31"/>
      <c r="F12" s="31"/>
    </row>
  </sheetData>
  <mergeCells count="1"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2026-08-03T23:49:41Z</dcterms:created>
  <dc:creator>openpyxl</dc:creator>
  <dc:description/>
  <dc:language>en-US</dc:language>
  <cp:lastModifiedBy/>
  <dcterms:modified xsi:type="dcterms:W3CDTF">2026-09-15T10:06:27Z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